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21" yWindow="65521" windowWidth="9720" windowHeight="7320" tabRatio="359" activeTab="0"/>
  </bookViews>
  <sheets>
    <sheet name="braquets" sheetId="1" r:id="rId1"/>
    <sheet name="remarques" sheetId="2" r:id="rId2"/>
  </sheets>
  <definedNames>
    <definedName name="_rl3">'braquets'!$E$11</definedName>
    <definedName name="circonférence">'braquets'!$X$8</definedName>
    <definedName name="plateau_1">'braquets'!$C$8</definedName>
    <definedName name="plateau_2">'braquets'!$E$8</definedName>
    <definedName name="plateau_3">'braquets'!$G$8</definedName>
    <definedName name="rl_1">'braquets'!$C$11</definedName>
    <definedName name="rl_10">'braquets'!$L$11</definedName>
    <definedName name="rl_11">'braquets'!$M$11</definedName>
    <definedName name="rl_2">'braquets'!$D$11</definedName>
    <definedName name="rl_3">'braquets'!$E$11</definedName>
    <definedName name="rl_4">'braquets'!$F$11</definedName>
    <definedName name="rl_5">'braquets'!$G$11</definedName>
    <definedName name="rl_6">'braquets'!$H$11</definedName>
    <definedName name="rl_7">'braquets'!$I$11</definedName>
    <definedName name="rl_8">'braquets'!$J$11</definedName>
    <definedName name="rl_9">'braquets'!$K$11</definedName>
    <definedName name="_xlnm.Print_Area" localSheetId="0">'braquets'!$B$2:$T$27</definedName>
  </definedNames>
  <calcPr fullCalcOnLoad="1"/>
</workbook>
</file>

<file path=xl/sharedStrings.xml><?xml version="1.0" encoding="utf-8"?>
<sst xmlns="http://schemas.openxmlformats.org/spreadsheetml/2006/main" count="69" uniqueCount="58">
  <si>
    <t>Plateau</t>
  </si>
  <si>
    <t>Dvlpt</t>
  </si>
  <si>
    <t>Ecart</t>
  </si>
  <si>
    <t>%</t>
  </si>
  <si>
    <t>RL</t>
  </si>
  <si>
    <t>Choix de la roue</t>
  </si>
  <si>
    <t>Choix de la roue libre</t>
  </si>
  <si>
    <t>Choix des plateaux</t>
  </si>
  <si>
    <t>Grand</t>
  </si>
  <si>
    <t>Moyen</t>
  </si>
  <si>
    <t>Petit</t>
  </si>
  <si>
    <t>Diamètre</t>
  </si>
  <si>
    <t>ETRTO</t>
  </si>
  <si>
    <t>47-305</t>
  </si>
  <si>
    <t>16x1,75</t>
  </si>
  <si>
    <t>47-406</t>
  </si>
  <si>
    <t>20x1,75</t>
  </si>
  <si>
    <t>47-507</t>
  </si>
  <si>
    <t>24x1,75</t>
  </si>
  <si>
    <t>23-571</t>
  </si>
  <si>
    <t>40-559</t>
  </si>
  <si>
    <t>47-559</t>
  </si>
  <si>
    <t>26x1,75</t>
  </si>
  <si>
    <t>54-559</t>
  </si>
  <si>
    <t>26x2,00</t>
  </si>
  <si>
    <t>20-622</t>
  </si>
  <si>
    <t>700x20c</t>
  </si>
  <si>
    <t>23-622</t>
  </si>
  <si>
    <t>700x23c</t>
  </si>
  <si>
    <t>25-622</t>
  </si>
  <si>
    <t>700x25c</t>
  </si>
  <si>
    <t>28-622</t>
  </si>
  <si>
    <t>700x28c</t>
  </si>
  <si>
    <t>32-622</t>
  </si>
  <si>
    <t>700x32c</t>
  </si>
  <si>
    <t>650x32b</t>
  </si>
  <si>
    <t>650x23c</t>
  </si>
  <si>
    <t>26x1,00</t>
  </si>
  <si>
    <t>26x1,50</t>
  </si>
  <si>
    <t>mm</t>
  </si>
  <si>
    <t>roues</t>
  </si>
  <si>
    <t>600x25c</t>
  </si>
  <si>
    <t>25-540</t>
  </si>
  <si>
    <t>32-584</t>
  </si>
  <si>
    <t>23-559</t>
  </si>
  <si>
    <t>Daniel Clerc</t>
  </si>
  <si>
    <t>Le braquet est une valeur mathématique (c'est un rapport)</t>
  </si>
  <si>
    <t>La circonférence n'est jamais vraiment "juste" puisqu'elle dépend du pneu (élasticité), de la pression de gonflage, du poids du cycliste...</t>
  </si>
  <si>
    <t xml:space="preserve">Ma solution est complète </t>
  </si>
  <si>
    <t>Braquets</t>
  </si>
  <si>
    <t>Elle va du mono plateau avec mono pignon au trois plateaux avec dix pignons</t>
  </si>
  <si>
    <t>Elle propose la plupart des diamètres de roues : 16' 20' 600c 650c 650b 24' 26' 700c</t>
  </si>
  <si>
    <t>Elle inclue la notion de pourcentage (indispensable pour visualiser facilement les écarts)</t>
  </si>
  <si>
    <t>Elle n'affiche que les données choisies</t>
  </si>
  <si>
    <t>Elle montre les braquets à éviter (en italique) dû à un croisement exagéré de la chaîne</t>
  </si>
  <si>
    <t>Vous pouvez modifier les données ETRTO et les circonférences</t>
  </si>
  <si>
    <t>Calcul des braquets</t>
  </si>
  <si>
    <t>Elle propose les pneus les plus courants  (pneu 1.75 pour les vélos enfants)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</si>
</sst>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0"/>
      <name val="Geneva"/>
      <family val="0"/>
    </font>
    <font>
      <sz val="11"/>
      <color indexed="8"/>
      <name val="Calibri"/>
      <family val="2"/>
    </font>
    <font>
      <i/>
      <sz val="10"/>
      <name val="Geneva"/>
      <family val="0"/>
    </font>
    <font>
      <sz val="8"/>
      <name val="Geneva"/>
      <family val="0"/>
    </font>
    <font>
      <sz val="12"/>
      <name val="Arial Narrow"/>
      <family val="2"/>
    </font>
    <font>
      <b/>
      <sz val="12"/>
      <name val="Arial Narrow"/>
      <family val="2"/>
    </font>
    <font>
      <i/>
      <sz val="12"/>
      <name val="Arial Narrow"/>
      <family val="2"/>
    </font>
    <font>
      <b/>
      <sz val="14"/>
      <name val="Arial Narrow"/>
      <family val="2"/>
    </font>
    <font>
      <b/>
      <i/>
      <sz val="12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2"/>
      <color indexed="42"/>
      <name val="Arial Narrow"/>
      <family val="2"/>
    </font>
    <font>
      <b/>
      <sz val="12"/>
      <name val="Arial"/>
      <family val="2"/>
    </font>
    <font>
      <sz val="14"/>
      <color indexed="9"/>
      <name val="Comic Sans MS"/>
      <family val="4"/>
    </font>
    <font>
      <b/>
      <sz val="20"/>
      <name val="Book Antiqua"/>
      <family val="1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sz val="26"/>
      <name val="Arial Narrow"/>
      <family val="2"/>
    </font>
    <font>
      <sz val="26"/>
      <name val="Genev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3" borderId="10" xfId="0" applyFont="1" applyFill="1" applyBorder="1" applyAlignment="1" quotePrefix="1">
      <alignment horizontal="center"/>
    </xf>
    <xf numFmtId="0" fontId="4" fillId="33" borderId="11" xfId="0" applyFont="1" applyFill="1" applyBorder="1" applyAlignment="1" quotePrefix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 quotePrefix="1">
      <alignment horizontal="center"/>
    </xf>
    <xf numFmtId="0" fontId="4" fillId="33" borderId="14" xfId="0" applyFont="1" applyFill="1" applyBorder="1" applyAlignment="1" quotePrefix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6" xfId="0" applyFont="1" applyFill="1" applyBorder="1" applyAlignment="1" quotePrefix="1">
      <alignment horizontal="center"/>
    </xf>
    <xf numFmtId="0" fontId="4" fillId="33" borderId="17" xfId="0" applyFont="1" applyFill="1" applyBorder="1" applyAlignment="1" quotePrefix="1">
      <alignment horizontal="center"/>
    </xf>
    <xf numFmtId="0" fontId="4" fillId="33" borderId="18" xfId="0" applyFont="1" applyFill="1" applyBorder="1" applyAlignment="1">
      <alignment horizontal="center"/>
    </xf>
    <xf numFmtId="0" fontId="5" fillId="34" borderId="14" xfId="0" applyFont="1" applyFill="1" applyBorder="1" applyAlignment="1" applyProtection="1">
      <alignment horizontal="center" vertical="center"/>
      <protection hidden="1"/>
    </xf>
    <xf numFmtId="2" fontId="5" fillId="35" borderId="14" xfId="0" applyNumberFormat="1" applyFont="1" applyFill="1" applyBorder="1" applyAlignment="1" applyProtection="1">
      <alignment horizontal="center" vertical="center"/>
      <protection hidden="1"/>
    </xf>
    <xf numFmtId="2" fontId="5" fillId="34" borderId="14" xfId="0" applyNumberFormat="1" applyFont="1" applyFill="1" applyBorder="1" applyAlignment="1" applyProtection="1">
      <alignment horizontal="center" vertical="center"/>
      <protection hidden="1"/>
    </xf>
    <xf numFmtId="9" fontId="5" fillId="35" borderId="15" xfId="0" applyNumberFormat="1" applyFont="1" applyFill="1" applyBorder="1" applyAlignment="1" applyProtection="1">
      <alignment horizontal="center" vertical="center"/>
      <protection hidden="1"/>
    </xf>
    <xf numFmtId="0" fontId="6" fillId="35" borderId="13" xfId="0" applyFont="1" applyFill="1" applyBorder="1" applyAlignment="1" applyProtection="1">
      <alignment horizontal="center" vertical="center"/>
      <protection hidden="1"/>
    </xf>
    <xf numFmtId="0" fontId="6" fillId="34" borderId="14" xfId="0" applyFont="1" applyFill="1" applyBorder="1" applyAlignment="1" applyProtection="1">
      <alignment horizontal="center" vertical="center"/>
      <protection hidden="1"/>
    </xf>
    <xf numFmtId="2" fontId="6" fillId="35" borderId="14" xfId="0" applyNumberFormat="1" applyFont="1" applyFill="1" applyBorder="1" applyAlignment="1" applyProtection="1">
      <alignment horizontal="center" vertical="center"/>
      <protection hidden="1"/>
    </xf>
    <xf numFmtId="2" fontId="6" fillId="34" borderId="14" xfId="0" applyNumberFormat="1" applyFont="1" applyFill="1" applyBorder="1" applyAlignment="1" applyProtection="1">
      <alignment horizontal="center" vertical="center"/>
      <protection hidden="1"/>
    </xf>
    <xf numFmtId="9" fontId="6" fillId="35" borderId="15" xfId="0" applyNumberFormat="1" applyFont="1" applyFill="1" applyBorder="1" applyAlignment="1" applyProtection="1">
      <alignment horizontal="center" vertical="center"/>
      <protection hidden="1"/>
    </xf>
    <xf numFmtId="2" fontId="6" fillId="34" borderId="17" xfId="0" applyNumberFormat="1" applyFont="1" applyFill="1" applyBorder="1" applyAlignment="1" applyProtection="1">
      <alignment horizontal="center" vertical="center"/>
      <protection hidden="1"/>
    </xf>
    <xf numFmtId="0" fontId="8" fillId="36" borderId="10" xfId="0" applyFont="1" applyFill="1" applyBorder="1" applyAlignment="1" applyProtection="1">
      <alignment horizontal="center"/>
      <protection hidden="1"/>
    </xf>
    <xf numFmtId="0" fontId="8" fillId="36" borderId="11" xfId="0" applyFont="1" applyFill="1" applyBorder="1" applyAlignment="1" applyProtection="1">
      <alignment horizontal="center"/>
      <protection hidden="1"/>
    </xf>
    <xf numFmtId="0" fontId="8" fillId="36" borderId="12" xfId="0" applyFont="1" applyFill="1" applyBorder="1" applyAlignment="1" applyProtection="1">
      <alignment horizontal="center"/>
      <protection hidden="1"/>
    </xf>
    <xf numFmtId="0" fontId="4" fillId="37" borderId="0" xfId="0" applyFont="1" applyFill="1" applyBorder="1" applyAlignment="1" applyProtection="1">
      <alignment horizontal="center"/>
      <protection hidden="1"/>
    </xf>
    <xf numFmtId="0" fontId="4" fillId="37" borderId="0" xfId="0" applyFont="1" applyFill="1" applyBorder="1" applyAlignment="1" applyProtection="1">
      <alignment horizontal="center" vertical="center"/>
      <protection hidden="1"/>
    </xf>
    <xf numFmtId="0" fontId="5" fillId="35" borderId="13" xfId="0" applyFont="1" applyFill="1" applyBorder="1" applyAlignment="1" applyProtection="1">
      <alignment horizontal="center" vertical="center"/>
      <protection hidden="1"/>
    </xf>
    <xf numFmtId="0" fontId="5" fillId="35" borderId="16" xfId="0" applyFont="1" applyFill="1" applyBorder="1" applyAlignment="1" applyProtection="1">
      <alignment horizontal="center" vertical="center"/>
      <protection hidden="1"/>
    </xf>
    <xf numFmtId="0" fontId="5" fillId="34" borderId="17" xfId="0" applyFont="1" applyFill="1" applyBorder="1" applyAlignment="1" applyProtection="1">
      <alignment horizontal="center" vertical="center"/>
      <protection hidden="1"/>
    </xf>
    <xf numFmtId="2" fontId="5" fillId="35" borderId="17" xfId="0" applyNumberFormat="1" applyFont="1" applyFill="1" applyBorder="1" applyAlignment="1" applyProtection="1">
      <alignment horizontal="center" vertical="center"/>
      <protection hidden="1"/>
    </xf>
    <xf numFmtId="2" fontId="5" fillId="34" borderId="17" xfId="0" applyNumberFormat="1" applyFont="1" applyFill="1" applyBorder="1" applyAlignment="1" applyProtection="1">
      <alignment horizontal="center" vertical="center"/>
      <protection hidden="1"/>
    </xf>
    <xf numFmtId="0" fontId="5" fillId="35" borderId="18" xfId="0" applyFont="1" applyFill="1" applyBorder="1" applyAlignment="1" applyProtection="1">
      <alignment horizontal="center"/>
      <protection hidden="1"/>
    </xf>
    <xf numFmtId="0" fontId="8" fillId="35" borderId="16" xfId="0" applyFont="1" applyFill="1" applyBorder="1" applyAlignment="1" applyProtection="1">
      <alignment horizontal="center" vertical="center"/>
      <protection hidden="1"/>
    </xf>
    <xf numFmtId="0" fontId="8" fillId="34" borderId="17" xfId="0" applyFont="1" applyFill="1" applyBorder="1" applyAlignment="1" applyProtection="1">
      <alignment horizontal="center" vertical="center"/>
      <protection hidden="1"/>
    </xf>
    <xf numFmtId="0" fontId="4" fillId="38" borderId="19" xfId="0" applyFont="1" applyFill="1" applyBorder="1" applyAlignment="1" applyProtection="1">
      <alignment horizontal="center"/>
      <protection hidden="1"/>
    </xf>
    <xf numFmtId="0" fontId="4" fillId="38" borderId="20" xfId="0" applyFont="1" applyFill="1" applyBorder="1" applyAlignment="1" applyProtection="1">
      <alignment horizontal="center"/>
      <protection hidden="1"/>
    </xf>
    <xf numFmtId="0" fontId="4" fillId="38" borderId="21" xfId="0" applyFont="1" applyFill="1" applyBorder="1" applyAlignment="1" applyProtection="1">
      <alignment horizontal="center"/>
      <protection hidden="1"/>
    </xf>
    <xf numFmtId="0" fontId="4" fillId="37" borderId="22" xfId="0" applyFont="1" applyFill="1" applyBorder="1" applyAlignment="1" applyProtection="1">
      <alignment horizontal="right"/>
      <protection hidden="1"/>
    </xf>
    <xf numFmtId="0" fontId="4" fillId="37" borderId="23" xfId="0" applyFont="1" applyFill="1" applyBorder="1" applyAlignment="1" applyProtection="1">
      <alignment horizontal="center"/>
      <protection hidden="1"/>
    </xf>
    <xf numFmtId="0" fontId="4" fillId="37" borderId="24" xfId="0" applyFont="1" applyFill="1" applyBorder="1" applyAlignment="1" applyProtection="1">
      <alignment horizontal="center"/>
      <protection hidden="1"/>
    </xf>
    <xf numFmtId="0" fontId="4" fillId="37" borderId="25" xfId="0" applyFont="1" applyFill="1" applyBorder="1" applyAlignment="1" applyProtection="1">
      <alignment horizontal="right"/>
      <protection hidden="1"/>
    </xf>
    <xf numFmtId="0" fontId="13" fillId="37" borderId="0" xfId="0" applyFont="1" applyFill="1" applyBorder="1" applyAlignment="1" applyProtection="1">
      <alignment horizontal="left"/>
      <protection hidden="1"/>
    </xf>
    <xf numFmtId="0" fontId="4" fillId="37" borderId="26" xfId="0" applyFont="1" applyFill="1" applyBorder="1" applyAlignment="1" applyProtection="1">
      <alignment horizontal="center"/>
      <protection hidden="1"/>
    </xf>
    <xf numFmtId="0" fontId="4" fillId="37" borderId="0" xfId="0" applyFont="1" applyFill="1" applyBorder="1" applyAlignment="1" applyProtection="1">
      <alignment/>
      <protection hidden="1"/>
    </xf>
    <xf numFmtId="0" fontId="6" fillId="37" borderId="25" xfId="0" applyFont="1" applyFill="1" applyBorder="1" applyAlignment="1" applyProtection="1">
      <alignment horizontal="right" vertical="center"/>
      <protection hidden="1"/>
    </xf>
    <xf numFmtId="0" fontId="11" fillId="37" borderId="0" xfId="0" applyFont="1" applyFill="1" applyBorder="1" applyAlignment="1" applyProtection="1">
      <alignment horizontal="center"/>
      <protection hidden="1"/>
    </xf>
    <xf numFmtId="0" fontId="7" fillId="37" borderId="0" xfId="0" applyFont="1" applyFill="1" applyBorder="1" applyAlignment="1" applyProtection="1">
      <alignment horizontal="center" vertical="center"/>
      <protection hidden="1"/>
    </xf>
    <xf numFmtId="0" fontId="4" fillId="37" borderId="25" xfId="0" applyFont="1" applyFill="1" applyBorder="1" applyAlignment="1" applyProtection="1">
      <alignment horizontal="center"/>
      <protection hidden="1"/>
    </xf>
    <xf numFmtId="0" fontId="4" fillId="37" borderId="27" xfId="0" applyFont="1" applyFill="1" applyBorder="1" applyAlignment="1" applyProtection="1">
      <alignment horizontal="right"/>
      <protection hidden="1"/>
    </xf>
    <xf numFmtId="0" fontId="4" fillId="37" borderId="28" xfId="0" applyFont="1" applyFill="1" applyBorder="1" applyAlignment="1" applyProtection="1">
      <alignment horizontal="center"/>
      <protection hidden="1"/>
    </xf>
    <xf numFmtId="0" fontId="4" fillId="37" borderId="29" xfId="0" applyFont="1" applyFill="1" applyBorder="1" applyAlignment="1" applyProtection="1">
      <alignment horizontal="center"/>
      <protection hidden="1"/>
    </xf>
    <xf numFmtId="0" fontId="0" fillId="0" borderId="0" xfId="0" applyFont="1" applyAlignment="1">
      <alignment/>
    </xf>
    <xf numFmtId="0" fontId="14" fillId="0" borderId="0" xfId="0" applyFont="1" applyAlignment="1">
      <alignment horizontal="left" vertical="center" wrapText="1" inden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 indent="1"/>
    </xf>
    <xf numFmtId="0" fontId="0" fillId="0" borderId="0" xfId="0" applyFont="1" applyAlignment="1">
      <alignment horizontal="left" vertical="center" wrapText="1" indent="1"/>
    </xf>
    <xf numFmtId="0" fontId="2" fillId="39" borderId="0" xfId="0" applyFont="1" applyFill="1" applyAlignment="1">
      <alignment horizontal="left" vertical="center" wrapText="1" indent="1"/>
    </xf>
    <xf numFmtId="0" fontId="15" fillId="39" borderId="0" xfId="0" applyFont="1" applyFill="1" applyAlignment="1">
      <alignment horizontal="left" vertical="center" wrapText="1" indent="1"/>
    </xf>
    <xf numFmtId="0" fontId="16" fillId="40" borderId="30" xfId="0" applyFont="1" applyFill="1" applyBorder="1" applyAlignment="1">
      <alignment horizontal="left" vertical="center" wrapText="1" indent="1"/>
    </xf>
    <xf numFmtId="0" fontId="17" fillId="40" borderId="31" xfId="0" applyFont="1" applyFill="1" applyBorder="1" applyAlignment="1">
      <alignment horizontal="left" vertical="center" wrapText="1" indent="1"/>
    </xf>
    <xf numFmtId="0" fontId="18" fillId="40" borderId="31" xfId="0" applyFont="1" applyFill="1" applyBorder="1" applyAlignment="1">
      <alignment horizontal="left" vertical="center" wrapText="1" indent="1"/>
    </xf>
    <xf numFmtId="0" fontId="16" fillId="40" borderId="31" xfId="0" applyFont="1" applyFill="1" applyBorder="1" applyAlignment="1">
      <alignment horizontal="left" vertical="center" wrapText="1" indent="1"/>
    </xf>
    <xf numFmtId="0" fontId="16" fillId="40" borderId="32" xfId="0" applyFont="1" applyFill="1" applyBorder="1" applyAlignment="1">
      <alignment horizontal="left" vertical="center" wrapText="1" indent="1"/>
    </xf>
    <xf numFmtId="0" fontId="12" fillId="0" borderId="0" xfId="0" applyFont="1" applyAlignment="1">
      <alignment horizontal="left" vertical="center" wrapText="1" indent="1"/>
    </xf>
    <xf numFmtId="0" fontId="5" fillId="35" borderId="33" xfId="0" applyFont="1" applyFill="1" applyBorder="1" applyAlignment="1" applyProtection="1">
      <alignment horizontal="center" vertical="center"/>
      <protection hidden="1"/>
    </xf>
    <xf numFmtId="0" fontId="5" fillId="34" borderId="34" xfId="0" applyFont="1" applyFill="1" applyBorder="1" applyAlignment="1" applyProtection="1">
      <alignment horizontal="center" vertical="center"/>
      <protection hidden="1"/>
    </xf>
    <xf numFmtId="2" fontId="5" fillId="35" borderId="34" xfId="0" applyNumberFormat="1" applyFont="1" applyFill="1" applyBorder="1" applyAlignment="1" applyProtection="1">
      <alignment horizontal="center" vertical="center"/>
      <protection hidden="1"/>
    </xf>
    <xf numFmtId="2" fontId="5" fillId="34" borderId="34" xfId="0" applyNumberFormat="1" applyFont="1" applyFill="1" applyBorder="1" applyAlignment="1" applyProtection="1">
      <alignment horizontal="center" vertical="center"/>
      <protection hidden="1"/>
    </xf>
    <xf numFmtId="9" fontId="5" fillId="35" borderId="35" xfId="0" applyNumberFormat="1" applyFont="1" applyFill="1" applyBorder="1" applyAlignment="1" applyProtection="1">
      <alignment horizontal="center" vertical="center"/>
      <protection hidden="1"/>
    </xf>
    <xf numFmtId="0" fontId="4" fillId="0" borderId="23" xfId="0" applyFont="1" applyFill="1" applyBorder="1" applyAlignment="1" quotePrefix="1">
      <alignment horizontal="center"/>
    </xf>
    <xf numFmtId="0" fontId="4" fillId="0" borderId="23" xfId="0" applyFont="1" applyFill="1" applyBorder="1" applyAlignment="1">
      <alignment horizontal="center"/>
    </xf>
    <xf numFmtId="0" fontId="6" fillId="35" borderId="36" xfId="0" applyFont="1" applyFill="1" applyBorder="1" applyAlignment="1" applyProtection="1">
      <alignment horizontal="center" vertical="center"/>
      <protection hidden="1"/>
    </xf>
    <xf numFmtId="0" fontId="6" fillId="34" borderId="37" xfId="0" applyFont="1" applyFill="1" applyBorder="1" applyAlignment="1" applyProtection="1">
      <alignment horizontal="center" vertical="center"/>
      <protection hidden="1"/>
    </xf>
    <xf numFmtId="2" fontId="6" fillId="35" borderId="37" xfId="0" applyNumberFormat="1" applyFont="1" applyFill="1" applyBorder="1" applyAlignment="1" applyProtection="1">
      <alignment horizontal="center" vertical="center"/>
      <protection hidden="1"/>
    </xf>
    <xf numFmtId="0" fontId="8" fillId="35" borderId="33" xfId="0" applyFont="1" applyFill="1" applyBorder="1" applyAlignment="1" applyProtection="1">
      <alignment horizontal="center" vertical="center"/>
      <protection hidden="1"/>
    </xf>
    <xf numFmtId="0" fontId="8" fillId="34" borderId="34" xfId="0" applyFont="1" applyFill="1" applyBorder="1" applyAlignment="1" applyProtection="1">
      <alignment horizontal="center" vertical="center"/>
      <protection hidden="1"/>
    </xf>
    <xf numFmtId="9" fontId="6" fillId="35" borderId="18" xfId="0" applyNumberFormat="1" applyFont="1" applyFill="1" applyBorder="1" applyAlignment="1" applyProtection="1">
      <alignment horizontal="center" vertical="center"/>
      <protection hidden="1"/>
    </xf>
    <xf numFmtId="0" fontId="5" fillId="36" borderId="38" xfId="0" applyFont="1" applyFill="1" applyBorder="1" applyAlignment="1" applyProtection="1">
      <alignment horizontal="center" vertical="center"/>
      <protection locked="0"/>
    </xf>
    <xf numFmtId="0" fontId="5" fillId="36" borderId="39" xfId="0" applyFont="1" applyFill="1" applyBorder="1" applyAlignment="1" applyProtection="1">
      <alignment horizontal="center" vertical="center"/>
      <protection locked="0"/>
    </xf>
    <xf numFmtId="0" fontId="5" fillId="36" borderId="40" xfId="0" applyFont="1" applyFill="1" applyBorder="1" applyAlignment="1" applyProtection="1">
      <alignment horizontal="center" vertical="center"/>
      <protection locked="0"/>
    </xf>
    <xf numFmtId="0" fontId="5" fillId="36" borderId="41" xfId="0" applyFont="1" applyFill="1" applyBorder="1" applyAlignment="1" applyProtection="1">
      <alignment horizontal="center" vertical="center"/>
      <protection locked="0"/>
    </xf>
    <xf numFmtId="0" fontId="10" fillId="36" borderId="19" xfId="0" applyFont="1" applyFill="1" applyBorder="1" applyAlignment="1" applyProtection="1">
      <alignment horizontal="center" vertical="center"/>
      <protection locked="0"/>
    </xf>
    <xf numFmtId="0" fontId="10" fillId="36" borderId="21" xfId="0" applyFont="1" applyFill="1" applyBorder="1" applyAlignment="1" applyProtection="1">
      <alignment horizontal="center" vertical="center"/>
      <protection locked="0"/>
    </xf>
    <xf numFmtId="0" fontId="11" fillId="37" borderId="28" xfId="0" applyFont="1" applyFill="1" applyBorder="1" applyAlignment="1" applyProtection="1">
      <alignment horizontal="center"/>
      <protection hidden="1"/>
    </xf>
    <xf numFmtId="0" fontId="19" fillId="12" borderId="19" xfId="0" applyFont="1" applyFill="1" applyBorder="1" applyAlignment="1">
      <alignment horizontal="center"/>
    </xf>
    <xf numFmtId="0" fontId="20" fillId="12" borderId="20" xfId="0" applyFont="1" applyFill="1" applyBorder="1" applyAlignment="1">
      <alignment/>
    </xf>
    <xf numFmtId="0" fontId="20" fillId="12" borderId="21" xfId="0" applyFont="1" applyFill="1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46"/>
  <sheetViews>
    <sheetView showGridLines="0" showRowColHeaders="0" tabSelected="1" zoomScalePageLayoutView="0" workbookViewId="0" topLeftCell="A1">
      <selection activeCell="E8" sqref="E8"/>
    </sheetView>
  </sheetViews>
  <sheetFormatPr defaultColWidth="11.00390625" defaultRowHeight="12.75"/>
  <cols>
    <col min="1" max="1" width="3.375" style="2" customWidth="1"/>
    <col min="2" max="2" width="4.625" style="1" customWidth="1"/>
    <col min="3" max="19" width="7.625" style="2" customWidth="1"/>
    <col min="20" max="20" width="7.00390625" style="2" customWidth="1"/>
    <col min="21" max="21" width="3.125" style="2" customWidth="1"/>
    <col min="22" max="24" width="9.25390625" style="2" customWidth="1"/>
    <col min="25" max="16384" width="11.375" style="2" customWidth="1"/>
  </cols>
  <sheetData>
    <row r="1" spans="2:20" ht="34.5" customHeight="1" thickBot="1">
      <c r="B1" s="92" t="s">
        <v>56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4"/>
    </row>
    <row r="2" spans="2:21" ht="15.75" customHeight="1"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5"/>
      <c r="U2" s="5"/>
    </row>
    <row r="3" spans="2:21" ht="19.5" customHeight="1">
      <c r="B3" s="46"/>
      <c r="C3" s="47" t="s">
        <v>5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48"/>
      <c r="U3" s="5"/>
    </row>
    <row r="4" spans="2:22" ht="16.5" customHeight="1" thickBot="1">
      <c r="B4" s="46"/>
      <c r="C4" s="91" t="s">
        <v>11</v>
      </c>
      <c r="D4" s="91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48"/>
      <c r="U4" s="5"/>
      <c r="V4" s="1"/>
    </row>
    <row r="5" spans="2:21" ht="18" customHeight="1" thickBot="1">
      <c r="B5" s="46"/>
      <c r="C5" s="89" t="s">
        <v>36</v>
      </c>
      <c r="D5" s="90"/>
      <c r="E5" s="30"/>
      <c r="F5" s="30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8"/>
      <c r="U5" s="5"/>
    </row>
    <row r="6" spans="2:21" ht="23.25" customHeight="1">
      <c r="B6" s="46"/>
      <c r="C6" s="47" t="s">
        <v>7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8"/>
      <c r="U6" s="5"/>
    </row>
    <row r="7" spans="2:21" ht="16.5" customHeight="1" thickBot="1">
      <c r="B7" s="50"/>
      <c r="C7" s="51" t="s">
        <v>8</v>
      </c>
      <c r="D7" s="30"/>
      <c r="E7" s="51" t="s">
        <v>9</v>
      </c>
      <c r="F7" s="30"/>
      <c r="G7" s="51" t="s">
        <v>10</v>
      </c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48"/>
      <c r="U7" s="5"/>
    </row>
    <row r="8" spans="2:24" ht="18" customHeight="1" thickBot="1">
      <c r="B8" s="46"/>
      <c r="C8" s="85">
        <v>50</v>
      </c>
      <c r="D8" s="30"/>
      <c r="E8" s="85">
        <v>39</v>
      </c>
      <c r="F8" s="30"/>
      <c r="G8" s="85">
        <v>30</v>
      </c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48"/>
      <c r="U8" s="5"/>
      <c r="V8" s="40" t="str">
        <f>C5</f>
        <v>650x23c</v>
      </c>
      <c r="W8" s="41">
        <f>MATCH(C5,W12:W27,0)</f>
        <v>9</v>
      </c>
      <c r="X8" s="42">
        <f>CHOOSE(W8,X12,X13,X14,X15,X16,X17,X18,X19,X20,X21,X22,X23,X24,X26,X27)/1000</f>
        <v>1.952</v>
      </c>
    </row>
    <row r="9" spans="2:21" ht="23.25" customHeight="1">
      <c r="B9" s="46"/>
      <c r="C9" s="47" t="s">
        <v>6</v>
      </c>
      <c r="D9" s="30"/>
      <c r="E9" s="52"/>
      <c r="F9" s="30"/>
      <c r="G9" s="52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48"/>
      <c r="U9" s="5"/>
    </row>
    <row r="10" spans="2:21" ht="16.5" customHeight="1" thickBot="1">
      <c r="B10" s="50"/>
      <c r="C10" s="51">
        <v>1</v>
      </c>
      <c r="D10" s="51">
        <v>2</v>
      </c>
      <c r="E10" s="51">
        <v>3</v>
      </c>
      <c r="F10" s="51">
        <v>4</v>
      </c>
      <c r="G10" s="51">
        <v>5</v>
      </c>
      <c r="H10" s="51">
        <v>6</v>
      </c>
      <c r="I10" s="51">
        <v>7</v>
      </c>
      <c r="J10" s="51">
        <v>8</v>
      </c>
      <c r="K10" s="51">
        <v>9</v>
      </c>
      <c r="L10" s="51">
        <v>10</v>
      </c>
      <c r="M10" s="51">
        <v>11</v>
      </c>
      <c r="N10" s="30"/>
      <c r="O10" s="30"/>
      <c r="P10" s="30"/>
      <c r="Q10" s="30"/>
      <c r="R10" s="30"/>
      <c r="S10" s="30"/>
      <c r="T10" s="48"/>
      <c r="U10" s="5"/>
    </row>
    <row r="11" spans="2:24" ht="18" customHeight="1" thickBot="1">
      <c r="B11" s="53"/>
      <c r="C11" s="86">
        <v>12</v>
      </c>
      <c r="D11" s="87">
        <v>13</v>
      </c>
      <c r="E11" s="87">
        <v>14</v>
      </c>
      <c r="F11" s="87">
        <v>15</v>
      </c>
      <c r="G11" s="87">
        <v>16</v>
      </c>
      <c r="H11" s="87">
        <v>17</v>
      </c>
      <c r="I11" s="87">
        <v>19</v>
      </c>
      <c r="J11" s="87">
        <v>21</v>
      </c>
      <c r="K11" s="87">
        <v>24</v>
      </c>
      <c r="L11" s="88">
        <v>26</v>
      </c>
      <c r="M11" s="88">
        <v>32</v>
      </c>
      <c r="N11" s="30"/>
      <c r="O11" s="30"/>
      <c r="P11" s="30"/>
      <c r="Q11" s="30"/>
      <c r="R11" s="30"/>
      <c r="S11" s="30"/>
      <c r="T11" s="48"/>
      <c r="U11" s="5"/>
      <c r="V11" s="4" t="s">
        <v>12</v>
      </c>
      <c r="W11" s="2" t="s">
        <v>40</v>
      </c>
      <c r="X11" s="2" t="s">
        <v>39</v>
      </c>
    </row>
    <row r="12" spans="2:24" ht="15.75" customHeight="1">
      <c r="B12" s="46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48"/>
      <c r="U12" s="5"/>
      <c r="V12" s="6" t="s">
        <v>13</v>
      </c>
      <c r="W12" s="7" t="s">
        <v>14</v>
      </c>
      <c r="X12" s="8">
        <v>1270</v>
      </c>
    </row>
    <row r="13" spans="2:24" ht="15.75" customHeight="1">
      <c r="B13" s="46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48"/>
      <c r="U13" s="5"/>
      <c r="V13" s="9" t="s">
        <v>15</v>
      </c>
      <c r="W13" s="10" t="s">
        <v>16</v>
      </c>
      <c r="X13" s="11">
        <v>1585</v>
      </c>
    </row>
    <row r="14" spans="2:24" ht="15.75" customHeight="1" thickBot="1">
      <c r="B14" s="46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48"/>
      <c r="U14" s="5"/>
      <c r="V14" s="9" t="s">
        <v>17</v>
      </c>
      <c r="W14" s="10" t="s">
        <v>18</v>
      </c>
      <c r="X14" s="11">
        <v>1890</v>
      </c>
    </row>
    <row r="15" spans="2:24" ht="15.75">
      <c r="B15" s="53"/>
      <c r="C15" s="27" t="s">
        <v>0</v>
      </c>
      <c r="D15" s="28" t="s">
        <v>4</v>
      </c>
      <c r="E15" s="28" t="s">
        <v>1</v>
      </c>
      <c r="F15" s="28" t="s">
        <v>2</v>
      </c>
      <c r="G15" s="29" t="s">
        <v>3</v>
      </c>
      <c r="H15" s="30"/>
      <c r="I15" s="27" t="s">
        <v>0</v>
      </c>
      <c r="J15" s="28" t="s">
        <v>4</v>
      </c>
      <c r="K15" s="28" t="s">
        <v>1</v>
      </c>
      <c r="L15" s="28" t="s">
        <v>2</v>
      </c>
      <c r="M15" s="29" t="s">
        <v>3</v>
      </c>
      <c r="N15" s="30"/>
      <c r="O15" s="27" t="s">
        <v>0</v>
      </c>
      <c r="P15" s="28" t="s">
        <v>4</v>
      </c>
      <c r="Q15" s="28" t="s">
        <v>1</v>
      </c>
      <c r="R15" s="28" t="s">
        <v>2</v>
      </c>
      <c r="S15" s="29" t="s">
        <v>3</v>
      </c>
      <c r="T15" s="48"/>
      <c r="U15" s="5"/>
      <c r="V15" s="12" t="s">
        <v>42</v>
      </c>
      <c r="W15" s="10" t="s">
        <v>41</v>
      </c>
      <c r="X15" s="11">
        <v>1880</v>
      </c>
    </row>
    <row r="16" spans="2:24" ht="15.75">
      <c r="B16" s="53"/>
      <c r="C16" s="32">
        <f>IF(ISNUMBER(rl_1),IF(ISNUMBER(plateau_1),plateau_1,""),"")</f>
        <v>50</v>
      </c>
      <c r="D16" s="17">
        <f>IF(ISNUMBER(plateau_1),IF(ISNUMBER(rl_1),rl_1,""),"")</f>
        <v>12</v>
      </c>
      <c r="E16" s="18">
        <f aca="true" t="shared" si="0" ref="E16:E26">IF(ISERR((C16/D16)*circonférence),"",C16/D16*circonférence)</f>
        <v>8.133333333333333</v>
      </c>
      <c r="F16" s="19">
        <f>IF(ISERR(E16-E17),"",E16-E17)</f>
        <v>0.6256410256410252</v>
      </c>
      <c r="G16" s="20">
        <f>IF(ISERR(F16/E16),"",F16/E16)</f>
        <v>0.07692307692307687</v>
      </c>
      <c r="H16" s="31"/>
      <c r="I16" s="21">
        <f>IF(ISNUMBER(rl_1),IF(ISNUMBER(plateau_2),plateau_2,""),"")</f>
        <v>39</v>
      </c>
      <c r="J16" s="22">
        <f>IF(ISNUMBER(plateau_2),IF(ISNUMBER(rl_1),rl_1,""),"")</f>
        <v>12</v>
      </c>
      <c r="K16" s="23">
        <f aca="true" t="shared" si="1" ref="K16:K26">IF(ISERR((I16/J16)*circonférence),"",I16/J16*circonférence)</f>
        <v>6.343999999999999</v>
      </c>
      <c r="L16" s="24">
        <f>IF(ISERR(K16-K17),"",K16-K17)</f>
        <v>0.48799999999999955</v>
      </c>
      <c r="M16" s="25">
        <f>IF(ISERR(L16/K16),"",L16/K16)</f>
        <v>0.07692307692307686</v>
      </c>
      <c r="N16" s="31"/>
      <c r="O16" s="21">
        <f>IF(ISNUMBER(rl_1),IF(ISNUMBER(plateau_3),plateau_3,""),"")</f>
        <v>30</v>
      </c>
      <c r="P16" s="22">
        <f>IF(ISNUMBER(plateau_3),IF(ISNUMBER(rl_1),rl_1,""),"")</f>
        <v>12</v>
      </c>
      <c r="Q16" s="23">
        <f aca="true" t="shared" si="2" ref="Q16:Q26">IF(ISERR((O16/P16)*circonférence),"",O16/P16*circonférence)</f>
        <v>4.88</v>
      </c>
      <c r="R16" s="24">
        <f>IF(ISERR(Q16-Q17),"",Q16-Q17)</f>
        <v>0.37538461538461565</v>
      </c>
      <c r="S16" s="25">
        <f>IF(ISERR(R16/Q16),"",R16/Q16)</f>
        <v>0.07692307692307698</v>
      </c>
      <c r="T16" s="48"/>
      <c r="U16" s="5"/>
      <c r="V16" s="9" t="s">
        <v>44</v>
      </c>
      <c r="W16" s="10" t="s">
        <v>37</v>
      </c>
      <c r="X16" s="11">
        <v>1913</v>
      </c>
    </row>
    <row r="17" spans="2:24" ht="15.75">
      <c r="B17" s="53"/>
      <c r="C17" s="32">
        <f>IF(ISNUMBER(rl_2),IF(ISNUMBER(plateau_1),plateau_1,""),"")</f>
        <v>50</v>
      </c>
      <c r="D17" s="17">
        <f>IF(ISNUMBER(plateau_1),IF(ISNUMBER(rl_2),rl_2,""),"")</f>
        <v>13</v>
      </c>
      <c r="E17" s="18">
        <f t="shared" si="0"/>
        <v>7.507692307692308</v>
      </c>
      <c r="F17" s="19">
        <f aca="true" t="shared" si="3" ref="F17:F23">IF(ISERR(E17-E18),"",E17-E18)</f>
        <v>0.5362637362637361</v>
      </c>
      <c r="G17" s="20">
        <f aca="true" t="shared" si="4" ref="G17:G25">IF(ISERR(F17/E17),"",F17/E17)</f>
        <v>0.07142857142857141</v>
      </c>
      <c r="H17" s="31"/>
      <c r="I17" s="32">
        <f>IF(ISNUMBER(rl_2),IF(ISNUMBER(plateau_2),plateau_2,""),"")</f>
        <v>39</v>
      </c>
      <c r="J17" s="17">
        <f>IF(ISNUMBER(plateau_2),IF(ISNUMBER(rl_2),rl_2,""),"")</f>
        <v>13</v>
      </c>
      <c r="K17" s="18">
        <f t="shared" si="1"/>
        <v>5.856</v>
      </c>
      <c r="L17" s="19">
        <f aca="true" t="shared" si="5" ref="L17:L23">IF(ISERR(K17-K18),"",K17-K18)</f>
        <v>0.41828571428571415</v>
      </c>
      <c r="M17" s="20">
        <f aca="true" t="shared" si="6" ref="M17:M25">IF(ISERR(L17/K17),"",L17/K17)</f>
        <v>0.07142857142857141</v>
      </c>
      <c r="N17" s="31"/>
      <c r="O17" s="21">
        <f>IF(ISNUMBER(rl_2),IF(ISNUMBER(plateau_3),plateau_3,""),"")</f>
        <v>30</v>
      </c>
      <c r="P17" s="22">
        <f>IF(ISNUMBER(plateau_3),IF(ISNUMBER(rl_2),rl_2,""),"")</f>
        <v>13</v>
      </c>
      <c r="Q17" s="23">
        <f t="shared" si="2"/>
        <v>4.504615384615384</v>
      </c>
      <c r="R17" s="24">
        <f aca="true" t="shared" si="7" ref="R17:R23">IF(ISERR(Q17-Q18),"",Q17-Q18)</f>
        <v>0.32175824175824186</v>
      </c>
      <c r="S17" s="25">
        <f aca="true" t="shared" si="8" ref="S17:S25">IF(ISERR(R17/Q17),"",R17/Q17)</f>
        <v>0.07142857142857145</v>
      </c>
      <c r="T17" s="48"/>
      <c r="U17" s="5"/>
      <c r="V17" s="9" t="s">
        <v>20</v>
      </c>
      <c r="W17" s="10" t="s">
        <v>38</v>
      </c>
      <c r="X17" s="11">
        <v>1985</v>
      </c>
    </row>
    <row r="18" spans="2:24" ht="15.75">
      <c r="B18" s="53"/>
      <c r="C18" s="32">
        <f>IF(ISNUMBER(rl_3),IF(ISNUMBER(plateau_1),plateau_1,""),"")</f>
        <v>50</v>
      </c>
      <c r="D18" s="17">
        <f>IF(ISNUMBER(plateau_1),IF(ISNUMBER(rl_3),rl_3,""),"")</f>
        <v>14</v>
      </c>
      <c r="E18" s="18">
        <f t="shared" si="0"/>
        <v>6.9714285714285715</v>
      </c>
      <c r="F18" s="19">
        <f t="shared" si="3"/>
        <v>0.4647619047619047</v>
      </c>
      <c r="G18" s="20">
        <f t="shared" si="4"/>
        <v>0.06666666666666665</v>
      </c>
      <c r="H18" s="31"/>
      <c r="I18" s="32">
        <f>IF(ISNUMBER(rl_3),IF(ISNUMBER(plateau_2),plateau_2,""),"")</f>
        <v>39</v>
      </c>
      <c r="J18" s="17">
        <f>IF(ISNUMBER(plateau_2),IF(ISNUMBER(rl_3),rl_3,""),"")</f>
        <v>14</v>
      </c>
      <c r="K18" s="18">
        <f t="shared" si="1"/>
        <v>5.437714285714286</v>
      </c>
      <c r="L18" s="19">
        <f t="shared" si="5"/>
        <v>0.362514285714286</v>
      </c>
      <c r="M18" s="20">
        <f t="shared" si="6"/>
        <v>0.06666666666666672</v>
      </c>
      <c r="N18" s="31"/>
      <c r="O18" s="21">
        <f>IF(ISNUMBER(rl_3),IF(ISNUMBER(plateau_3),plateau_3,""),"")</f>
        <v>30</v>
      </c>
      <c r="P18" s="22">
        <f>IF(ISNUMBER(plateau_3),IF(ISNUMBER(rl_3),rl_3,""),"")</f>
        <v>14</v>
      </c>
      <c r="Q18" s="23">
        <f t="shared" si="2"/>
        <v>4.182857142857142</v>
      </c>
      <c r="R18" s="24">
        <f t="shared" si="7"/>
        <v>0.27885714285714247</v>
      </c>
      <c r="S18" s="25">
        <f t="shared" si="8"/>
        <v>0.06666666666666658</v>
      </c>
      <c r="T18" s="48"/>
      <c r="U18" s="5"/>
      <c r="V18" s="9" t="s">
        <v>21</v>
      </c>
      <c r="W18" s="10" t="s">
        <v>22</v>
      </c>
      <c r="X18" s="11">
        <v>2030</v>
      </c>
    </row>
    <row r="19" spans="2:24" ht="15.75">
      <c r="B19" s="53"/>
      <c r="C19" s="32">
        <f>IF(ISNUMBER(rl_4),IF(ISNUMBER(plateau_1),plateau_1,""),"")</f>
        <v>50</v>
      </c>
      <c r="D19" s="17">
        <f>IF(ISNUMBER(plateau_1),IF(ISNUMBER(rl_4),rl_4,""),"")</f>
        <v>15</v>
      </c>
      <c r="E19" s="18">
        <f t="shared" si="0"/>
        <v>6.506666666666667</v>
      </c>
      <c r="F19" s="19">
        <f t="shared" si="3"/>
        <v>0.4066666666666672</v>
      </c>
      <c r="G19" s="20">
        <f t="shared" si="4"/>
        <v>0.06250000000000008</v>
      </c>
      <c r="H19" s="31"/>
      <c r="I19" s="32">
        <f>IF(ISNUMBER(rl_4),IF(ISNUMBER(plateau_2),plateau_2,""),"")</f>
        <v>39</v>
      </c>
      <c r="J19" s="17">
        <f>IF(ISNUMBER(plateau_2),IF(ISNUMBER(rl_4),rl_4,""),"")</f>
        <v>15</v>
      </c>
      <c r="K19" s="18">
        <f t="shared" si="1"/>
        <v>5.0752</v>
      </c>
      <c r="L19" s="19">
        <f t="shared" si="5"/>
        <v>0.3171999999999997</v>
      </c>
      <c r="M19" s="20">
        <f t="shared" si="6"/>
        <v>0.062499999999999944</v>
      </c>
      <c r="N19" s="31"/>
      <c r="O19" s="21">
        <f>IF(ISNUMBER(rl_4),IF(ISNUMBER(plateau_3),plateau_3,""),"")</f>
        <v>30</v>
      </c>
      <c r="P19" s="22">
        <f>IF(ISNUMBER(plateau_3),IF(ISNUMBER(rl_4),rl_4,""),"")</f>
        <v>15</v>
      </c>
      <c r="Q19" s="23">
        <f t="shared" si="2"/>
        <v>3.904</v>
      </c>
      <c r="R19" s="24">
        <f t="shared" si="7"/>
        <v>0.24399999999999977</v>
      </c>
      <c r="S19" s="25">
        <f t="shared" si="8"/>
        <v>0.062499999999999944</v>
      </c>
      <c r="T19" s="48"/>
      <c r="U19" s="5"/>
      <c r="V19" s="9" t="s">
        <v>23</v>
      </c>
      <c r="W19" s="10" t="s">
        <v>24</v>
      </c>
      <c r="X19" s="11">
        <v>2055</v>
      </c>
    </row>
    <row r="20" spans="2:24" ht="15.75">
      <c r="B20" s="53"/>
      <c r="C20" s="32">
        <f>IF(ISNUMBER(rl_5),IF(ISNUMBER(plateau_1),plateau_1,""),"")</f>
        <v>50</v>
      </c>
      <c r="D20" s="17">
        <f>IF(ISNUMBER(plateau_1),IF(ISNUMBER(rl_5),rl_5,""),"")</f>
        <v>16</v>
      </c>
      <c r="E20" s="18">
        <f t="shared" si="0"/>
        <v>6.1</v>
      </c>
      <c r="F20" s="19">
        <f t="shared" si="3"/>
        <v>0.3588235294117643</v>
      </c>
      <c r="G20" s="20">
        <f t="shared" si="4"/>
        <v>0.05882352941176464</v>
      </c>
      <c r="H20" s="31"/>
      <c r="I20" s="32">
        <f>IF(ISNUMBER(rl_5),IF(ISNUMBER(plateau_2),plateau_2,""),"")</f>
        <v>39</v>
      </c>
      <c r="J20" s="17">
        <f>IF(ISNUMBER(plateau_2),IF(ISNUMBER(rl_5),rl_5,""),"")</f>
        <v>16</v>
      </c>
      <c r="K20" s="18">
        <f t="shared" si="1"/>
        <v>4.758</v>
      </c>
      <c r="L20" s="19">
        <f t="shared" si="5"/>
        <v>0.27988235294117647</v>
      </c>
      <c r="M20" s="20">
        <f t="shared" si="6"/>
        <v>0.058823529411764705</v>
      </c>
      <c r="N20" s="31"/>
      <c r="O20" s="32">
        <f>IF(ISNUMBER(rl_5),IF(ISNUMBER(plateau_3),plateau_3,""),"")</f>
        <v>30</v>
      </c>
      <c r="P20" s="17">
        <f>IF(ISNUMBER(plateau_3),IF(ISNUMBER(rl_5),rl_5,""),"")</f>
        <v>16</v>
      </c>
      <c r="Q20" s="18">
        <f t="shared" si="2"/>
        <v>3.66</v>
      </c>
      <c r="R20" s="19">
        <f t="shared" si="7"/>
        <v>0.2152941176470593</v>
      </c>
      <c r="S20" s="20">
        <f t="shared" si="8"/>
        <v>0.05882352941176484</v>
      </c>
      <c r="T20" s="48"/>
      <c r="U20" s="5"/>
      <c r="V20" s="12" t="s">
        <v>19</v>
      </c>
      <c r="W20" s="13" t="s">
        <v>36</v>
      </c>
      <c r="X20" s="11">
        <v>1952</v>
      </c>
    </row>
    <row r="21" spans="2:24" ht="15.75">
      <c r="B21" s="53"/>
      <c r="C21" s="32">
        <f>IF(ISNUMBER(rl_6),IF(ISNUMBER(plateau_1),plateau_1,""),"")</f>
        <v>50</v>
      </c>
      <c r="D21" s="17">
        <f>IF(ISNUMBER(plateau_1),IF(ISNUMBER(rl_6),rl_6,""),"")</f>
        <v>17</v>
      </c>
      <c r="E21" s="18">
        <f t="shared" si="0"/>
        <v>5.741176470588235</v>
      </c>
      <c r="F21" s="19">
        <f t="shared" si="3"/>
        <v>0.6043343653250774</v>
      </c>
      <c r="G21" s="20">
        <f t="shared" si="4"/>
        <v>0.10526315789473685</v>
      </c>
      <c r="H21" s="31"/>
      <c r="I21" s="32">
        <f>IF(ISNUMBER(rl_6),IF(ISNUMBER(plateau_2),plateau_2,""),"")</f>
        <v>39</v>
      </c>
      <c r="J21" s="17">
        <f>IF(ISNUMBER(plateau_2),IF(ISNUMBER(rl_6),rl_6,""),"")</f>
        <v>17</v>
      </c>
      <c r="K21" s="18">
        <f t="shared" si="1"/>
        <v>4.4781176470588235</v>
      </c>
      <c r="L21" s="19">
        <f t="shared" si="5"/>
        <v>0.4713808049535597</v>
      </c>
      <c r="M21" s="20">
        <f t="shared" si="6"/>
        <v>0.1052631578947367</v>
      </c>
      <c r="N21" s="31"/>
      <c r="O21" s="32">
        <f>IF(ISNUMBER(rl_6),IF(ISNUMBER(plateau_3),plateau_3,""),"")</f>
        <v>30</v>
      </c>
      <c r="P21" s="17">
        <f>IF(ISNUMBER(plateau_3),IF(ISNUMBER(rl_6),rl_6,""),"")</f>
        <v>17</v>
      </c>
      <c r="Q21" s="18">
        <f t="shared" si="2"/>
        <v>3.444705882352941</v>
      </c>
      <c r="R21" s="19">
        <f t="shared" si="7"/>
        <v>0.36260061919504594</v>
      </c>
      <c r="S21" s="20">
        <f t="shared" si="8"/>
        <v>0.10526315789473671</v>
      </c>
      <c r="T21" s="48"/>
      <c r="U21" s="5"/>
      <c r="V21" s="12" t="s">
        <v>43</v>
      </c>
      <c r="W21" s="13" t="s">
        <v>35</v>
      </c>
      <c r="X21" s="11">
        <v>2040</v>
      </c>
    </row>
    <row r="22" spans="2:24" ht="15.75">
      <c r="B22" s="53"/>
      <c r="C22" s="32">
        <f>IF(ISNUMBER(rl_7),IF(ISNUMBER(plateau_1),plateau_1,""),"")</f>
        <v>50</v>
      </c>
      <c r="D22" s="17">
        <f>IF(ISNUMBER(plateau_1),IF(ISNUMBER(rl_7),rl_7,""),"")</f>
        <v>19</v>
      </c>
      <c r="E22" s="18">
        <f t="shared" si="0"/>
        <v>5.136842105263158</v>
      </c>
      <c r="F22" s="19">
        <f t="shared" si="3"/>
        <v>0.4892230576441108</v>
      </c>
      <c r="G22" s="20">
        <f t="shared" si="4"/>
        <v>0.09523809523809534</v>
      </c>
      <c r="H22" s="31"/>
      <c r="I22" s="32">
        <f>IF(ISNUMBER(rl_7),IF(ISNUMBER(plateau_2),plateau_2,""),"")</f>
        <v>39</v>
      </c>
      <c r="J22" s="17">
        <f>IF(ISNUMBER(plateau_2),IF(ISNUMBER(rl_7),rl_7,""),"")</f>
        <v>19</v>
      </c>
      <c r="K22" s="18">
        <f t="shared" si="1"/>
        <v>4.006736842105264</v>
      </c>
      <c r="L22" s="19">
        <f t="shared" si="5"/>
        <v>0.3815939849624068</v>
      </c>
      <c r="M22" s="20">
        <f t="shared" si="6"/>
        <v>0.09523809523809543</v>
      </c>
      <c r="N22" s="31"/>
      <c r="O22" s="32">
        <f>IF(ISNUMBER(rl_7),IF(ISNUMBER(plateau_3),plateau_3,""),"")</f>
        <v>30</v>
      </c>
      <c r="P22" s="17">
        <f>IF(ISNUMBER(plateau_3),IF(ISNUMBER(rl_7),rl_7,""),"")</f>
        <v>19</v>
      </c>
      <c r="Q22" s="18">
        <f t="shared" si="2"/>
        <v>3.082105263157895</v>
      </c>
      <c r="R22" s="19">
        <f t="shared" si="7"/>
        <v>0.2935338345864662</v>
      </c>
      <c r="S22" s="20">
        <f t="shared" si="8"/>
        <v>0.09523809523809525</v>
      </c>
      <c r="T22" s="48"/>
      <c r="U22" s="5"/>
      <c r="V22" s="9" t="s">
        <v>25</v>
      </c>
      <c r="W22" s="10" t="s">
        <v>26</v>
      </c>
      <c r="X22" s="11">
        <v>2086</v>
      </c>
    </row>
    <row r="23" spans="2:24" ht="15.75">
      <c r="B23" s="53"/>
      <c r="C23" s="21">
        <f>IF(ISNUMBER(rl_8),IF(ISNUMBER(plateau_1),plateau_1,""),"")</f>
        <v>50</v>
      </c>
      <c r="D23" s="22">
        <f>IF(ISNUMBER(plateau_1),IF(ISNUMBER(rl_8),rl_8,""),"")</f>
        <v>21</v>
      </c>
      <c r="E23" s="23">
        <f t="shared" si="0"/>
        <v>4.647619047619047</v>
      </c>
      <c r="F23" s="24">
        <f t="shared" si="3"/>
        <v>0.5809523809523807</v>
      </c>
      <c r="G23" s="25">
        <f t="shared" si="4"/>
        <v>0.12499999999999996</v>
      </c>
      <c r="H23" s="31"/>
      <c r="I23" s="32">
        <f>IF(ISNUMBER(rl_8),IF(ISNUMBER(plateau_2),plateau_2,""),"")</f>
        <v>39</v>
      </c>
      <c r="J23" s="17">
        <f>IF(ISNUMBER(plateau_2),IF(ISNUMBER(rl_8),rl_8,""),"")</f>
        <v>21</v>
      </c>
      <c r="K23" s="18">
        <f t="shared" si="1"/>
        <v>3.625142857142857</v>
      </c>
      <c r="L23" s="19">
        <f t="shared" si="5"/>
        <v>0.4531428571428573</v>
      </c>
      <c r="M23" s="20">
        <f t="shared" si="6"/>
        <v>0.12500000000000006</v>
      </c>
      <c r="N23" s="31"/>
      <c r="O23" s="32">
        <f>IF(ISNUMBER(rl_8),IF(ISNUMBER(plateau_3),plateau_3,""),"")</f>
        <v>30</v>
      </c>
      <c r="P23" s="17">
        <f>IF(ISNUMBER(plateau_3),IF(ISNUMBER(rl_8),rl_8,""),"")</f>
        <v>21</v>
      </c>
      <c r="Q23" s="18">
        <f t="shared" si="2"/>
        <v>2.7885714285714287</v>
      </c>
      <c r="R23" s="19">
        <f t="shared" si="7"/>
        <v>0.34857142857142875</v>
      </c>
      <c r="S23" s="20">
        <f t="shared" si="8"/>
        <v>0.12500000000000006</v>
      </c>
      <c r="T23" s="48"/>
      <c r="U23" s="5"/>
      <c r="V23" s="9" t="s">
        <v>27</v>
      </c>
      <c r="W23" s="10" t="s">
        <v>28</v>
      </c>
      <c r="X23" s="11">
        <v>2100</v>
      </c>
    </row>
    <row r="24" spans="2:24" ht="15.75">
      <c r="B24" s="53"/>
      <c r="C24" s="21">
        <f>IF(ISNUMBER(rl_9),IF(ISNUMBER(plateau_1),plateau_1,""),"")</f>
        <v>50</v>
      </c>
      <c r="D24" s="22">
        <f>IF(ISNUMBER(plateau_1),IF(ISNUMBER(rl_9),rl_9,""),"")</f>
        <v>24</v>
      </c>
      <c r="E24" s="23">
        <f t="shared" si="0"/>
        <v>4.066666666666666</v>
      </c>
      <c r="F24" s="24">
        <f>IF(ISERR(E24-E25),"",E24-E25)</f>
        <v>0.3128205128205126</v>
      </c>
      <c r="G24" s="25">
        <f t="shared" si="4"/>
        <v>0.07692307692307687</v>
      </c>
      <c r="H24" s="31"/>
      <c r="I24" s="32">
        <f>IF(ISNUMBER(rl_9),IF(ISNUMBER(plateau_2),plateau_2,""),"")</f>
        <v>39</v>
      </c>
      <c r="J24" s="17">
        <f>IF(ISNUMBER(plateau_2),IF(ISNUMBER(rl_9),rl_9,""),"")</f>
        <v>24</v>
      </c>
      <c r="K24" s="18">
        <f t="shared" si="1"/>
        <v>3.1719999999999997</v>
      </c>
      <c r="L24" s="19">
        <f>IF(ISERR(K24-K25),"",K24-K25)</f>
        <v>0.24399999999999977</v>
      </c>
      <c r="M24" s="20">
        <f t="shared" si="6"/>
        <v>0.07692307692307686</v>
      </c>
      <c r="N24" s="31"/>
      <c r="O24" s="32">
        <f>IF(ISNUMBER(rl_9),IF(ISNUMBER(plateau_3),plateau_3,""),"")</f>
        <v>30</v>
      </c>
      <c r="P24" s="17">
        <f>IF(ISNUMBER(plateau_3),IF(ISNUMBER(rl_9),rl_9,""),"")</f>
        <v>24</v>
      </c>
      <c r="Q24" s="18">
        <f t="shared" si="2"/>
        <v>2.44</v>
      </c>
      <c r="R24" s="19">
        <f>IF(ISERR(Q24-Q25),"",Q24-Q25)</f>
        <v>0.18769230769230782</v>
      </c>
      <c r="S24" s="20">
        <f t="shared" si="8"/>
        <v>0.07692307692307698</v>
      </c>
      <c r="T24" s="48"/>
      <c r="U24" s="5"/>
      <c r="V24" s="9" t="s">
        <v>29</v>
      </c>
      <c r="W24" s="10" t="s">
        <v>30</v>
      </c>
      <c r="X24" s="11">
        <v>2105</v>
      </c>
    </row>
    <row r="25" spans="2:24" ht="15.75">
      <c r="B25" s="53"/>
      <c r="C25" s="21">
        <f>IF(ISNUMBER(rl_10),IF(ISNUMBER(plateau_1),plateau_1,""),"")</f>
        <v>50</v>
      </c>
      <c r="D25" s="22">
        <f>IF(ISNUMBER(plateau_1),IF(ISNUMBER(rl_10),rl_10,""),"")</f>
        <v>26</v>
      </c>
      <c r="E25" s="23">
        <f>IF(ISERR((C25/D25)*circonférence),"",C25/D25*circonférence)</f>
        <v>3.753846153846154</v>
      </c>
      <c r="F25" s="24">
        <f>IF(ISERR(E25-E26),"",E25-E26)</f>
        <v>0.703846153846154</v>
      </c>
      <c r="G25" s="25">
        <f t="shared" si="4"/>
        <v>0.18750000000000006</v>
      </c>
      <c r="H25" s="30"/>
      <c r="I25" s="72">
        <f>IF(ISNUMBER(rl_10),IF(ISNUMBER(plateau_2),plateau_2,""),"")</f>
        <v>39</v>
      </c>
      <c r="J25" s="73">
        <f>IF(ISNUMBER(plateau_2),IF(ISNUMBER(rl_10),rl_10,""),"")</f>
        <v>26</v>
      </c>
      <c r="K25" s="74">
        <f>IF(ISERR((I25/J25)*circonférence),"",I25/J25*circonférence)</f>
        <v>2.928</v>
      </c>
      <c r="L25" s="75">
        <f>IF(ISERR(K25-K26),"",K25-K26)</f>
        <v>0.5489999999999999</v>
      </c>
      <c r="M25" s="76">
        <f t="shared" si="6"/>
        <v>0.18749999999999997</v>
      </c>
      <c r="N25" s="30"/>
      <c r="O25" s="82">
        <f>IF(ISNUMBER(rl_10),IF(ISNUMBER(plateau_3),plateau_3,""),"")</f>
        <v>30</v>
      </c>
      <c r="P25" s="83">
        <f>IF(ISNUMBER(plateau_3),IF(ISNUMBER(rl_10),rl_10,""),"")</f>
        <v>26</v>
      </c>
      <c r="Q25" s="74">
        <f>IF(ISERR((O25/P25)*circonférence),"",O25/P25*circonférence)</f>
        <v>2.252307692307692</v>
      </c>
      <c r="R25" s="19">
        <f>IF(ISERR(Q25-Q26),"",Q25-Q26)</f>
        <v>0.42230769230769205</v>
      </c>
      <c r="S25" s="20">
        <f t="shared" si="8"/>
        <v>0.1874999999999999</v>
      </c>
      <c r="T25" s="48"/>
      <c r="U25" s="5"/>
      <c r="V25" s="9" t="s">
        <v>31</v>
      </c>
      <c r="W25" s="10" t="s">
        <v>32</v>
      </c>
      <c r="X25" s="11">
        <v>2136</v>
      </c>
    </row>
    <row r="26" spans="2:24" ht="16.5" thickBot="1">
      <c r="B26" s="46"/>
      <c r="C26" s="79">
        <f>IF(ISNUMBER(rl_10),IF(ISNUMBER(plateau_1),plateau_1,""),"")</f>
        <v>50</v>
      </c>
      <c r="D26" s="80">
        <f>IF(ISNUMBER(plateau_1),IF(ISNUMBER(rl_11),rl_11,""),"")</f>
        <v>32</v>
      </c>
      <c r="E26" s="81">
        <f t="shared" si="0"/>
        <v>3.05</v>
      </c>
      <c r="F26" s="26"/>
      <c r="G26" s="84"/>
      <c r="H26" s="30"/>
      <c r="I26" s="33">
        <f>IF(ISNUMBER(rl_10),IF(ISNUMBER(plateau_2),plateau_2,""),"")</f>
        <v>39</v>
      </c>
      <c r="J26" s="34">
        <f>IF(ISNUMBER(plateau_2),IF(ISNUMBER(rl_11),rl_11,""),"")</f>
        <v>32</v>
      </c>
      <c r="K26" s="35">
        <f t="shared" si="1"/>
        <v>2.379</v>
      </c>
      <c r="L26" s="36"/>
      <c r="M26" s="37"/>
      <c r="N26" s="30"/>
      <c r="O26" s="38">
        <f>IF(ISNUMBER(rl_10),IF(ISNUMBER(plateau_3),plateau_3,""),"")</f>
        <v>30</v>
      </c>
      <c r="P26" s="39">
        <f>IF(ISNUMBER(plateau_3),IF(ISNUMBER(rl_11),rl_11,""),"")</f>
        <v>32</v>
      </c>
      <c r="Q26" s="35">
        <f t="shared" si="2"/>
        <v>1.83</v>
      </c>
      <c r="R26" s="36"/>
      <c r="S26" s="37"/>
      <c r="T26" s="48"/>
      <c r="U26" s="5"/>
      <c r="V26" s="14" t="s">
        <v>33</v>
      </c>
      <c r="W26" s="15" t="s">
        <v>34</v>
      </c>
      <c r="X26" s="16">
        <v>2155</v>
      </c>
    </row>
    <row r="27" spans="2:24" ht="16.5" thickBot="1">
      <c r="B27" s="54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6"/>
      <c r="U27" s="5"/>
      <c r="V27" s="77"/>
      <c r="W27" s="77"/>
      <c r="X27" s="78"/>
    </row>
    <row r="28" spans="2:20" ht="34.5" customHeight="1"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</row>
    <row r="31" ht="19.5" customHeight="1">
      <c r="F31" s="3"/>
    </row>
    <row r="32" ht="19.5" customHeight="1">
      <c r="F32" s="3"/>
    </row>
    <row r="33" ht="19.5" customHeight="1">
      <c r="F33" s="3"/>
    </row>
    <row r="34" ht="19.5" customHeight="1">
      <c r="F34" s="3"/>
    </row>
    <row r="35" ht="19.5" customHeight="1">
      <c r="F35" s="3"/>
    </row>
    <row r="36" ht="19.5" customHeight="1">
      <c r="F36" s="3"/>
    </row>
    <row r="37" ht="19.5" customHeight="1">
      <c r="F37" s="3"/>
    </row>
    <row r="38" ht="19.5" customHeight="1">
      <c r="F38" s="3"/>
    </row>
    <row r="39" ht="19.5" customHeight="1">
      <c r="F39" s="3"/>
    </row>
    <row r="40" ht="19.5" customHeight="1">
      <c r="F40" s="3"/>
    </row>
    <row r="41" ht="19.5" customHeight="1">
      <c r="F41" s="3"/>
    </row>
    <row r="42" ht="19.5" customHeight="1">
      <c r="F42" s="3"/>
    </row>
    <row r="43" ht="19.5" customHeight="1">
      <c r="F43" s="3"/>
    </row>
    <row r="44" ht="19.5" customHeight="1">
      <c r="F44" s="3"/>
    </row>
    <row r="45" ht="19.5" customHeight="1"/>
    <row r="46" spans="3:4" ht="19.5" customHeight="1">
      <c r="C46" s="1"/>
      <c r="D46" s="1"/>
    </row>
    <row r="47" ht="19.5" customHeight="1"/>
    <row r="48" ht="19.5" customHeight="1"/>
    <row r="49" ht="19.5" customHeight="1"/>
    <row r="50" ht="19.5" customHeight="1"/>
    <row r="51" ht="19.5" customHeight="1"/>
    <row r="52" ht="19.5" customHeight="1"/>
  </sheetData>
  <sheetProtection password="CBA3" sheet="1" objects="1" scenarios="1" selectLockedCells="1"/>
  <protectedRanges>
    <protectedRange sqref="C5 C8 E8 G8 C11:M11 V12:X27" name="Plage1"/>
  </protectedRanges>
  <mergeCells count="4">
    <mergeCell ref="C5:D5"/>
    <mergeCell ref="C4:D4"/>
    <mergeCell ref="B1:T1"/>
    <mergeCell ref="B28:T28"/>
  </mergeCells>
  <dataValidations count="14">
    <dataValidation type="list" allowBlank="1" showInputMessage="1" showErrorMessage="1" promptTitle="Cliquez" prompt="sur le triangle" errorTitle="Erreur !" error="Saisissez des données correctes" sqref="C8">
      <formula1>"non,42,43,44,45,46,47,48,49,50,51,52,53,54,55,56"</formula1>
    </dataValidation>
    <dataValidation type="list" allowBlank="1" showInputMessage="1" showErrorMessage="1" promptTitle="Cliquez" prompt="sur le triangle" errorTitle="Erreur !" error="Saisissez des données correctes" sqref="E8">
      <formula1>"non,32,34,36,38,39,40,41,42,43,44,45,46"</formula1>
    </dataValidation>
    <dataValidation type="list" allowBlank="1" showInputMessage="1" showErrorMessage="1" promptTitle="Cliquez" prompt="sur le triangle" errorTitle="Erreur !" error="Saisissez des données correctes" sqref="G8">
      <formula1>"non,22,24,26,28,30,32,34,36"</formula1>
    </dataValidation>
    <dataValidation type="list" allowBlank="1" showInputMessage="1" showErrorMessage="1" promptTitle="Cliquez" prompt="sur le triangle" errorTitle="Erreur !" error="Saisissez des données correctes" sqref="C11">
      <formula1>"non,11,12,13,14,15,16"</formula1>
    </dataValidation>
    <dataValidation type="list" allowBlank="1" showInputMessage="1" showErrorMessage="1" errorTitle="Erreur !" error="Saisissez des données correctes" sqref="E11">
      <formula1>"non,13,14,15,16,17,18,19,20,21,22,23,24"</formula1>
    </dataValidation>
    <dataValidation type="list" allowBlank="1" showInputMessage="1" showErrorMessage="1" errorTitle="Erreur !" error="Saisissez des données correctes" sqref="D11">
      <formula1>"non,12,13,14,15,16,17,18,19"</formula1>
    </dataValidation>
    <dataValidation type="list" allowBlank="1" showInputMessage="1" showErrorMessage="1" errorTitle="Erreur !" error="Saisissez des données correctes" sqref="F11">
      <formula1>"non,14,15,16,17,18,19,20,21,22,23,24,25,26"</formula1>
    </dataValidation>
    <dataValidation type="list" allowBlank="1" showInputMessage="1" showErrorMessage="1" errorTitle="Erreur !" error="Saisissez des données correctes" sqref="J11">
      <formula1>"non,18,19,20,21,22,23,24,25,26,27,28,29,30"</formula1>
    </dataValidation>
    <dataValidation type="list" allowBlank="1" showInputMessage="1" showErrorMessage="1" errorTitle="Erreur !" error="Saisissez des données correctes" sqref="I11">
      <formula1>"non,17,18,19,20,21,22,23,24,26,27,28"</formula1>
    </dataValidation>
    <dataValidation type="list" allowBlank="1" showInputMessage="1" showErrorMessage="1" errorTitle="Erreur !" error="Saisissez des données correctes" sqref="H11">
      <formula1>"non,16,17,18,19,20,21,22,23,24,26,27,28"</formula1>
    </dataValidation>
    <dataValidation type="list" allowBlank="1" showInputMessage="1" showErrorMessage="1" errorTitle="erreur !" error="Saisissez des données correctes" sqref="G11">
      <formula1>"non,15,16,17,18,19,20,21,22,23,24,26,27,28"</formula1>
    </dataValidation>
    <dataValidation type="list" allowBlank="1" showInputMessage="1" showErrorMessage="1" errorTitle="erreur !" error="Saisissez des données correctes" sqref="K11">
      <formula1>"non,19,20,21,22,23,24,25,26,27,28,29,30,32"</formula1>
    </dataValidation>
    <dataValidation type="list" allowBlank="1" showInputMessage="1" showErrorMessage="1" errorTitle="Erreur !" error="Saisissez des données correctes" sqref="L11:M11">
      <formula1>"non,20,21,22,23,24,25,26,27,28,29,30,32"</formula1>
    </dataValidation>
    <dataValidation errorStyle="information" type="list" allowBlank="1" showInputMessage="1" showErrorMessage="1" promptTitle="Cliquez" prompt="sur le triangle" errorTitle="Erreur !" error="Saisissez des données correctes" sqref="C5">
      <formula1>$W$12:$W$27</formula1>
    </dataValidation>
  </dataValidations>
  <printOptions horizontalCentered="1" verticalCentered="1"/>
  <pageMargins left="0.3937007874015748" right="0.7874015748031497" top="0.3937007874015748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showGridLines="0" zoomScalePageLayoutView="0" workbookViewId="0" topLeftCell="A1">
      <selection activeCell="A1" sqref="A1:B23"/>
    </sheetView>
  </sheetViews>
  <sheetFormatPr defaultColWidth="11.00390625" defaultRowHeight="12.75"/>
  <cols>
    <col min="1" max="1" width="6.25390625" style="60" customWidth="1"/>
    <col min="2" max="2" width="113.25390625" style="60" customWidth="1"/>
    <col min="3" max="16384" width="11.375" style="60" customWidth="1"/>
  </cols>
  <sheetData>
    <row r="1" spans="1:2" s="59" customFormat="1" ht="40.5" customHeight="1" thickBot="1">
      <c r="A1" s="57"/>
      <c r="B1" s="58" t="s">
        <v>49</v>
      </c>
    </row>
    <row r="2" spans="1:2" ht="13.5" customHeight="1">
      <c r="A2" s="59"/>
      <c r="B2" s="66"/>
    </row>
    <row r="3" spans="1:2" s="61" customFormat="1" ht="13.5" customHeight="1">
      <c r="A3" s="60"/>
      <c r="B3" s="67" t="s">
        <v>48</v>
      </c>
    </row>
    <row r="4" spans="1:2" s="59" customFormat="1" ht="13.5" customHeight="1">
      <c r="A4" s="61"/>
      <c r="B4" s="68"/>
    </row>
    <row r="5" spans="1:2" ht="13.5" customHeight="1">
      <c r="A5" s="59"/>
      <c r="B5" s="69" t="s">
        <v>50</v>
      </c>
    </row>
    <row r="6" spans="1:2" s="59" customFormat="1" ht="13.5" customHeight="1">
      <c r="A6" s="60"/>
      <c r="B6" s="68"/>
    </row>
    <row r="7" spans="1:2" ht="13.5" customHeight="1">
      <c r="A7" s="59"/>
      <c r="B7" s="69" t="s">
        <v>51</v>
      </c>
    </row>
    <row r="8" spans="1:2" s="59" customFormat="1" ht="13.5" customHeight="1">
      <c r="A8" s="60"/>
      <c r="B8" s="68"/>
    </row>
    <row r="9" spans="1:2" ht="13.5" customHeight="1">
      <c r="A9" s="59"/>
      <c r="B9" s="69" t="s">
        <v>57</v>
      </c>
    </row>
    <row r="10" spans="1:2" s="59" customFormat="1" ht="13.5" customHeight="1">
      <c r="A10" s="60"/>
      <c r="B10" s="68"/>
    </row>
    <row r="11" spans="1:2" ht="13.5" customHeight="1">
      <c r="A11" s="59"/>
      <c r="B11" s="69" t="s">
        <v>52</v>
      </c>
    </row>
    <row r="12" spans="1:2" s="59" customFormat="1" ht="13.5" customHeight="1">
      <c r="A12" s="60"/>
      <c r="B12" s="68"/>
    </row>
    <row r="13" spans="1:2" ht="13.5" customHeight="1">
      <c r="A13" s="59"/>
      <c r="B13" s="69" t="s">
        <v>53</v>
      </c>
    </row>
    <row r="14" spans="1:2" s="59" customFormat="1" ht="13.5" customHeight="1">
      <c r="A14" s="60"/>
      <c r="B14" s="68"/>
    </row>
    <row r="15" spans="1:2" ht="13.5" customHeight="1">
      <c r="A15" s="59"/>
      <c r="B15" s="69" t="s">
        <v>54</v>
      </c>
    </row>
    <row r="16" ht="13.5" customHeight="1" thickBot="1">
      <c r="B16" s="70"/>
    </row>
    <row r="17" ht="12.75">
      <c r="B17" s="62"/>
    </row>
    <row r="18" spans="1:2" s="59" customFormat="1" ht="15.75">
      <c r="A18" s="60"/>
      <c r="B18" s="71" t="s">
        <v>45</v>
      </c>
    </row>
    <row r="19" ht="12.75">
      <c r="A19" s="59"/>
    </row>
    <row r="20" s="59" customFormat="1" ht="12.75">
      <c r="B20" s="63"/>
    </row>
    <row r="21" s="59" customFormat="1" ht="12.75">
      <c r="B21" s="64" t="s">
        <v>46</v>
      </c>
    </row>
    <row r="22" s="59" customFormat="1" ht="25.5">
      <c r="B22" s="64" t="s">
        <v>47</v>
      </c>
    </row>
    <row r="23" spans="1:2" ht="12.75">
      <c r="A23" s="59"/>
      <c r="B23" s="65" t="s">
        <v>55</v>
      </c>
    </row>
    <row r="25" s="59" customFormat="1" ht="12.75">
      <c r="B25" s="63"/>
    </row>
  </sheetData>
  <sheetProtection password="CBA3" sheet="1" objects="1" scenarios="1" selectLockedCells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</dc:creator>
  <cp:keywords/>
  <dc:description/>
  <cp:lastModifiedBy>Sergio</cp:lastModifiedBy>
  <cp:lastPrinted>2009-05-16T17:01:09Z</cp:lastPrinted>
  <dcterms:created xsi:type="dcterms:W3CDTF">2004-10-09T19:07:42Z</dcterms:created>
  <dcterms:modified xsi:type="dcterms:W3CDTF">2017-04-08T19:11:51Z</dcterms:modified>
  <cp:category/>
  <cp:version/>
  <cp:contentType/>
  <cp:contentStatus/>
</cp:coreProperties>
</file>